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cmutchler/Desktop/"/>
    </mc:Choice>
  </mc:AlternateContent>
  <bookViews>
    <workbookView xWindow="2140" yWindow="580" windowWidth="35460" windowHeight="21860"/>
  </bookViews>
  <sheets>
    <sheet name="HCI Calculator" sheetId="6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6" l="1"/>
  <c r="B20" i="6"/>
  <c r="B41" i="6"/>
  <c r="L14" i="6"/>
  <c r="F14" i="6"/>
  <c r="B4" i="6"/>
  <c r="B6" i="6"/>
  <c r="B7" i="6"/>
  <c r="B8" i="6"/>
  <c r="B49" i="6"/>
  <c r="M31" i="6"/>
  <c r="M39" i="6"/>
  <c r="B13" i="6"/>
  <c r="B52" i="6"/>
  <c r="M41" i="6"/>
  <c r="B44" i="6"/>
  <c r="M36" i="6"/>
  <c r="L31" i="6"/>
  <c r="L39" i="6"/>
  <c r="L41" i="6"/>
  <c r="L36" i="6"/>
  <c r="K31" i="6"/>
  <c r="K39" i="6"/>
  <c r="K41" i="6"/>
  <c r="K36" i="6"/>
  <c r="J31" i="6"/>
  <c r="J39" i="6"/>
  <c r="J41" i="6"/>
  <c r="J36" i="6"/>
  <c r="I31" i="6"/>
  <c r="I39" i="6"/>
  <c r="I41" i="6"/>
  <c r="I36" i="6"/>
  <c r="H31" i="6"/>
  <c r="H39" i="6"/>
  <c r="H41" i="6"/>
  <c r="H36" i="6"/>
  <c r="G31" i="6"/>
  <c r="G39" i="6"/>
  <c r="G41" i="6"/>
  <c r="G36" i="6"/>
  <c r="F31" i="6"/>
  <c r="F39" i="6"/>
  <c r="F41" i="6"/>
  <c r="F36" i="6"/>
  <c r="B40" i="6"/>
  <c r="M35" i="6"/>
  <c r="L35" i="6"/>
  <c r="K35" i="6"/>
  <c r="J35" i="6"/>
  <c r="I35" i="6"/>
  <c r="H35" i="6"/>
  <c r="G35" i="6"/>
  <c r="F35" i="6"/>
  <c r="B36" i="6"/>
  <c r="M34" i="6"/>
  <c r="L34" i="6"/>
  <c r="K34" i="6"/>
  <c r="J34" i="6"/>
  <c r="I34" i="6"/>
  <c r="H34" i="6"/>
  <c r="G34" i="6"/>
  <c r="F34" i="6"/>
  <c r="B43" i="6"/>
  <c r="B42" i="6"/>
  <c r="B39" i="6"/>
  <c r="B38" i="6"/>
  <c r="B37" i="6"/>
  <c r="B35" i="6"/>
  <c r="B34" i="6"/>
  <c r="B33" i="6"/>
  <c r="B50" i="6"/>
  <c r="M40" i="6"/>
  <c r="B48" i="6"/>
  <c r="M38" i="6"/>
  <c r="L40" i="6"/>
  <c r="L38" i="6"/>
  <c r="K40" i="6"/>
  <c r="K38" i="6"/>
  <c r="J40" i="6"/>
  <c r="J38" i="6"/>
  <c r="I40" i="6"/>
  <c r="I38" i="6"/>
  <c r="H40" i="6"/>
  <c r="H38" i="6"/>
  <c r="G40" i="6"/>
  <c r="G38" i="6"/>
  <c r="F40" i="6"/>
  <c r="F38" i="6"/>
  <c r="B32" i="6"/>
  <c r="B31" i="6"/>
  <c r="L21" i="6"/>
  <c r="F21" i="6"/>
  <c r="L19" i="6"/>
  <c r="L18" i="6"/>
  <c r="L17" i="6"/>
  <c r="L16" i="6"/>
  <c r="L13" i="6"/>
  <c r="L12" i="6"/>
  <c r="L11" i="6"/>
  <c r="L10" i="6"/>
  <c r="F19" i="6"/>
  <c r="F18" i="6"/>
  <c r="F17" i="6"/>
  <c r="F16" i="6"/>
  <c r="F13" i="6"/>
  <c r="F12" i="6"/>
  <c r="F11" i="6"/>
  <c r="F10" i="6"/>
  <c r="M33" i="6"/>
  <c r="L33" i="6"/>
  <c r="K33" i="6"/>
  <c r="J33" i="6"/>
  <c r="I33" i="6"/>
  <c r="H33" i="6"/>
  <c r="G33" i="6"/>
  <c r="F33" i="6"/>
  <c r="M32" i="6"/>
  <c r="L32" i="6"/>
  <c r="K32" i="6"/>
  <c r="J32" i="6"/>
  <c r="I32" i="6"/>
  <c r="H32" i="6"/>
  <c r="G32" i="6"/>
  <c r="F32" i="6"/>
  <c r="B24" i="6"/>
</calcChain>
</file>

<file path=xl/sharedStrings.xml><?xml version="1.0" encoding="utf-8"?>
<sst xmlns="http://schemas.openxmlformats.org/spreadsheetml/2006/main" count="93" uniqueCount="92">
  <si>
    <t>VSAN FTT Policy</t>
  </si>
  <si>
    <t>Number of Sockets per Server</t>
  </si>
  <si>
    <t>Number of Cores per Socket</t>
  </si>
  <si>
    <t>GHz per Core</t>
  </si>
  <si>
    <t>Total GHz per Server</t>
  </si>
  <si>
    <t>Total GHZ per Server minus ESXi Reservation Overhead</t>
  </si>
  <si>
    <t>Total GHz per Server minus VSAN overhead</t>
  </si>
  <si>
    <t>Memory per Server (GB)</t>
  </si>
  <si>
    <t>System Memory Overhead for 6.2 VSAN</t>
  </si>
  <si>
    <t>OS Memory Overhead</t>
  </si>
  <si>
    <t>HCI Compute Hardware</t>
  </si>
  <si>
    <t>Usable Memory per Server (GB) w/VSAN</t>
  </si>
  <si>
    <t>Total Cache Drives per Server</t>
  </si>
  <si>
    <t>Total Capacity Drives per Server</t>
  </si>
  <si>
    <t>Cache Capacity per Server (TB)</t>
  </si>
  <si>
    <t>Raw Capacity per Server (TB)</t>
  </si>
  <si>
    <t>Maximum VSAN Datastore Percentage</t>
  </si>
  <si>
    <t>Total Cores per Server</t>
  </si>
  <si>
    <t>0.4% or max of 1GB</t>
  </si>
  <si>
    <t>Capacity Drive per Disk Capacity (TB)</t>
  </si>
  <si>
    <t>Cache Drive per Disk Capacity (TB)</t>
  </si>
  <si>
    <t>Total Useable GHz per Server</t>
  </si>
  <si>
    <t>VSAN Disk Groups</t>
  </si>
  <si>
    <t>vCPU per VM</t>
  </si>
  <si>
    <t>Storage (GB) per VM</t>
  </si>
  <si>
    <t>Memory (GB) per VM</t>
  </si>
  <si>
    <t>Total GHz per Cluster</t>
  </si>
  <si>
    <t>HCI Oversubscription per Node Summary</t>
  </si>
  <si>
    <t>HCI per Node Summary</t>
  </si>
  <si>
    <t>Total GHz per Server 2.0:1</t>
  </si>
  <si>
    <t>Total GHz per Server 1.5:1</t>
  </si>
  <si>
    <t>Total GHz per Server 1.2:1</t>
  </si>
  <si>
    <t>VSAN limit of 600GB per cache drive.</t>
  </si>
  <si>
    <t>HCI Compute Clusters</t>
  </si>
  <si>
    <t>VSAN RAID-1 Useable Capacity per Server (TB)</t>
  </si>
  <si>
    <t>Total VSAN RAID-1 Storage per Cluster (TB)</t>
  </si>
  <si>
    <t>Total GHz per Cluster 1.2:1</t>
  </si>
  <si>
    <t>Total GHz per Cluster 2.0:1</t>
  </si>
  <si>
    <t>Total Memory per Cluster (TB)</t>
  </si>
  <si>
    <t>Total Useable Memory per Server (GB)</t>
  </si>
  <si>
    <t># Servers based on Memory</t>
  </si>
  <si>
    <t># Servers based on Storage (VSAN RAID-1)</t>
  </si>
  <si>
    <t># Servers based on GHz 1.2:1</t>
  </si>
  <si>
    <t># Servers based on GHz</t>
  </si>
  <si>
    <t># Servers based on GHz 1.5:1</t>
  </si>
  <si>
    <t># Servers based on GHz 2.0:1</t>
  </si>
  <si>
    <t>GHz per vCPU</t>
  </si>
  <si>
    <t>HA FTT Policy</t>
  </si>
  <si>
    <t># HA Nodes</t>
  </si>
  <si>
    <t>Total GHZ per Cluster 1.5:1</t>
  </si>
  <si>
    <t># VM Units based on GHz</t>
  </si>
  <si>
    <t># VM Units based on Memory</t>
  </si>
  <si>
    <t># VM Units based on Storage (VSAN RAID-1)</t>
  </si>
  <si>
    <t># VM Units based on GHz 1.2:1</t>
  </si>
  <si>
    <t># VM Units based on GHz 1.5:1</t>
  </si>
  <si>
    <t># VM Units based on GHz 2.0:1</t>
  </si>
  <si>
    <t>HOL vApp Unit</t>
  </si>
  <si>
    <t>VSAN Objects per VM</t>
  </si>
  <si>
    <t>VSAN Objects per vApp</t>
  </si>
  <si>
    <t>Storage (GB) per vApp</t>
  </si>
  <si>
    <t>Memory (GB) per vApp</t>
  </si>
  <si>
    <t>vCPU per vApp</t>
  </si>
  <si>
    <t># Servers based on VSAN Objects</t>
  </si>
  <si>
    <t># VM Units based on VSAN Objects</t>
  </si>
  <si>
    <t>VSAN Dedupe Efficiency Factor</t>
  </si>
  <si>
    <t>Linked-Clone Efficiency Factor</t>
  </si>
  <si>
    <t>VSAN RAID-1 Useable Capacity with Deduplication (TB)</t>
  </si>
  <si>
    <t>VSAN RAID-1 Useable Capacity with Linked-Clones (TB)</t>
  </si>
  <si>
    <t>VSAN RAID-1 Useable Capacity with Dedupe &amp; Linked Clones (TB)</t>
  </si>
  <si>
    <t>Memory Overcommit Factor</t>
  </si>
  <si>
    <t>Total Memory w/overcommit per Server</t>
  </si>
  <si>
    <t># Servers based on Memory w/overcommit</t>
  </si>
  <si>
    <t># VM Units based on Memory w/overcommit</t>
  </si>
  <si>
    <t>Total Memory w/overcommit per Cluster (TB)</t>
  </si>
  <si>
    <t>VSAN RAID 5 Useable Capacity per Server (TB)</t>
  </si>
  <si>
    <t>VSAN RAID-5 Useable Capacity with Deduplication (TB)</t>
  </si>
  <si>
    <t>VSAN RAID-5 Useable Capacity with Linked-Clones (TB)</t>
  </si>
  <si>
    <t>VSAN RAID-5 Useable Capacity with Dedupe &amp; Linked Clones (TB)</t>
  </si>
  <si>
    <t>VSAN RAID-6 Useable Capacity with Deduplication (TB)</t>
  </si>
  <si>
    <t>VSAN RAID-6 Useable Capacity per Server (TB)</t>
  </si>
  <si>
    <t>VSAN RAID-6 Useable Capacity with Linked-Clones (TB)</t>
  </si>
  <si>
    <t>VSAN RAID-6 Useable Capacity with Dedupe &amp; Linked Clones (TB)</t>
  </si>
  <si>
    <t>Total VSAN RAID-5 Storage per Cluster (TB)</t>
  </si>
  <si>
    <t>Total VSAN RAID-6 Storage Per Cluster (TB)</t>
  </si>
  <si>
    <t># Servers based on Storage (VSAN RAID-5)</t>
  </si>
  <si>
    <t># VM Units based on Storage (VSAN RAID-5)</t>
  </si>
  <si>
    <t># Servers based on Storage (VSAN RAID-6)</t>
  </si>
  <si>
    <t># VM Units based on Storage (VSAN RAID-6)</t>
  </si>
  <si>
    <t>Maximum FTT=3 with RAID-1</t>
  </si>
  <si>
    <t>VM Unit</t>
  </si>
  <si>
    <t>HCI Nodes per 100 VM Units</t>
  </si>
  <si>
    <t>Maximum VM Units per HCI Node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</si>
</sst>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Fill="1" applyBorder="1"/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ill="1"/>
    <xf numFmtId="0" fontId="0" fillId="0" borderId="0" xfId="0" applyFill="1" applyAlignment="1"/>
    <xf numFmtId="0" fontId="1" fillId="0" borderId="0" xfId="0" applyFont="1" applyFill="1"/>
    <xf numFmtId="0" fontId="0" fillId="0" borderId="6" xfId="0" applyBorder="1"/>
    <xf numFmtId="2" fontId="0" fillId="0" borderId="0" xfId="0" applyNumberFormat="1" applyFont="1" applyFill="1" applyBorder="1"/>
    <xf numFmtId="2" fontId="0" fillId="0" borderId="0" xfId="0" applyNumberFormat="1" applyFill="1" applyBorder="1"/>
    <xf numFmtId="2" fontId="0" fillId="0" borderId="0" xfId="0" applyNumberFormat="1" applyFill="1" applyBorder="1" applyAlignment="1"/>
    <xf numFmtId="1" fontId="0" fillId="0" borderId="0" xfId="0" applyNumberFormat="1" applyFont="1" applyFill="1" applyBorder="1"/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left"/>
    </xf>
    <xf numFmtId="0" fontId="0" fillId="0" borderId="2" xfId="0" applyFill="1" applyBorder="1"/>
    <xf numFmtId="0" fontId="0" fillId="0" borderId="3" xfId="0" applyFill="1" applyBorder="1" applyAlignment="1">
      <alignment horizontal="left" indent="1"/>
    </xf>
    <xf numFmtId="1" fontId="0" fillId="0" borderId="4" xfId="0" applyNumberFormat="1" applyFill="1" applyBorder="1"/>
    <xf numFmtId="0" fontId="0" fillId="0" borderId="3" xfId="0" applyFont="1" applyFill="1" applyBorder="1" applyAlignment="1">
      <alignment horizontal="left" indent="1"/>
    </xf>
    <xf numFmtId="1" fontId="0" fillId="0" borderId="4" xfId="0" applyNumberFormat="1" applyFont="1" applyFill="1" applyBorder="1" applyAlignment="1"/>
    <xf numFmtId="0" fontId="0" fillId="0" borderId="5" xfId="0" applyFill="1" applyBorder="1" applyAlignment="1">
      <alignment horizontal="left" indent="1"/>
    </xf>
    <xf numFmtId="0" fontId="0" fillId="0" borderId="4" xfId="0" applyFill="1" applyBorder="1"/>
    <xf numFmtId="0" fontId="0" fillId="0" borderId="4" xfId="0" applyFont="1" applyFill="1" applyBorder="1" applyAlignment="1"/>
    <xf numFmtId="0" fontId="0" fillId="0" borderId="4" xfId="0" applyFill="1" applyBorder="1" applyAlignment="1"/>
    <xf numFmtId="0" fontId="0" fillId="0" borderId="6" xfId="0" applyFill="1" applyBorder="1" applyAlignment="1"/>
    <xf numFmtId="0" fontId="1" fillId="2" borderId="1" xfId="0" applyFont="1" applyFill="1" applyBorder="1" applyAlignment="1">
      <alignment horizontal="left"/>
    </xf>
    <xf numFmtId="0" fontId="0" fillId="2" borderId="2" xfId="0" applyFill="1" applyBorder="1"/>
    <xf numFmtId="0" fontId="0" fillId="2" borderId="3" xfId="0" applyFill="1" applyBorder="1" applyAlignment="1">
      <alignment horizontal="left" indent="1"/>
    </xf>
    <xf numFmtId="0" fontId="0" fillId="2" borderId="4" xfId="0" applyFill="1" applyBorder="1"/>
    <xf numFmtId="0" fontId="0" fillId="2" borderId="5" xfId="0" applyFill="1" applyBorder="1" applyAlignment="1">
      <alignment horizontal="left" indent="1"/>
    </xf>
    <xf numFmtId="0" fontId="0" fillId="2" borderId="6" xfId="0" applyFill="1" applyBorder="1"/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1" fillId="0" borderId="2" xfId="0" applyFont="1" applyFill="1" applyBorder="1" applyAlignment="1"/>
    <xf numFmtId="1" fontId="0" fillId="0" borderId="4" xfId="0" applyNumberFormat="1" applyFont="1" applyFill="1" applyBorder="1"/>
    <xf numFmtId="2" fontId="0" fillId="0" borderId="4" xfId="0" applyNumberFormat="1" applyFont="1" applyFill="1" applyBorder="1"/>
    <xf numFmtId="2" fontId="0" fillId="0" borderId="4" xfId="0" applyNumberFormat="1" applyFill="1" applyBorder="1"/>
    <xf numFmtId="2" fontId="0" fillId="0" borderId="4" xfId="0" applyNumberFormat="1" applyFill="1" applyBorder="1" applyAlignment="1"/>
    <xf numFmtId="2" fontId="0" fillId="0" borderId="8" xfId="0" applyNumberFormat="1" applyFill="1" applyBorder="1"/>
    <xf numFmtId="2" fontId="0" fillId="0" borderId="6" xfId="0" applyNumberFormat="1" applyFill="1" applyBorder="1"/>
    <xf numFmtId="164" fontId="0" fillId="0" borderId="4" xfId="0" applyNumberFormat="1" applyFill="1" applyBorder="1"/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Border="1"/>
    <xf numFmtId="0" fontId="1" fillId="2" borderId="1" xfId="0" applyFont="1" applyFill="1" applyBorder="1"/>
    <xf numFmtId="0" fontId="0" fillId="2" borderId="3" xfId="0" applyFont="1" applyFill="1" applyBorder="1"/>
    <xf numFmtId="2" fontId="0" fillId="2" borderId="4" xfId="0" applyNumberFormat="1" applyFont="1" applyFill="1" applyBorder="1"/>
    <xf numFmtId="0" fontId="1" fillId="2" borderId="3" xfId="0" applyFont="1" applyFill="1" applyBorder="1"/>
    <xf numFmtId="2" fontId="1" fillId="2" borderId="4" xfId="0" applyNumberFormat="1" applyFont="1" applyFill="1" applyBorder="1"/>
    <xf numFmtId="0" fontId="1" fillId="2" borderId="5" xfId="0" applyFont="1" applyFill="1" applyBorder="1"/>
    <xf numFmtId="2" fontId="1" fillId="2" borderId="6" xfId="0" applyNumberFormat="1" applyFont="1" applyFill="1" applyBorder="1"/>
    <xf numFmtId="0" fontId="1" fillId="2" borderId="4" xfId="0" applyFont="1" applyFill="1" applyBorder="1"/>
    <xf numFmtId="4" fontId="0" fillId="2" borderId="4" xfId="0" applyNumberFormat="1" applyFont="1" applyFill="1" applyBorder="1"/>
    <xf numFmtId="0" fontId="0" fillId="0" borderId="5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0" fillId="0" borderId="3" xfId="0" applyFill="1" applyBorder="1" applyAlignment="1"/>
    <xf numFmtId="0" fontId="0" fillId="2" borderId="1" xfId="0" applyFont="1" applyFill="1" applyBorder="1"/>
    <xf numFmtId="1" fontId="0" fillId="2" borderId="2" xfId="0" applyNumberFormat="1" applyFont="1" applyFill="1" applyBorder="1"/>
    <xf numFmtId="0" fontId="0" fillId="2" borderId="4" xfId="0" applyFont="1" applyFill="1" applyBorder="1"/>
    <xf numFmtId="10" fontId="0" fillId="2" borderId="4" xfId="0" applyNumberFormat="1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0" fillId="2" borderId="3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2" borderId="8" xfId="0" applyFill="1" applyBorder="1" applyAlignment="1">
      <alignment horizontal="left" indent="1"/>
    </xf>
    <xf numFmtId="0" fontId="0" fillId="0" borderId="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5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zoomScaleNormal="120" zoomScalePageLayoutView="120" workbookViewId="0">
      <selection activeCell="B20" sqref="B20"/>
    </sheetView>
  </sheetViews>
  <sheetFormatPr baseColWidth="10" defaultRowHeight="15" x14ac:dyDescent="0.2"/>
  <cols>
    <col min="1" max="1" width="52.33203125" customWidth="1"/>
    <col min="2" max="2" width="14" customWidth="1"/>
    <col min="3" max="3" width="29.5" bestFit="1" customWidth="1"/>
    <col min="5" max="5" width="49.1640625" customWidth="1"/>
    <col min="8" max="8" width="11.1640625" bestFit="1" customWidth="1"/>
  </cols>
  <sheetData>
    <row r="1" spans="1:12" ht="15" customHeight="1" x14ac:dyDescent="0.2">
      <c r="A1" s="1" t="s">
        <v>10</v>
      </c>
      <c r="E1" s="2"/>
    </row>
    <row r="2" spans="1:12" x14ac:dyDescent="0.2">
      <c r="A2" t="s">
        <v>1</v>
      </c>
      <c r="B2">
        <v>2</v>
      </c>
      <c r="E2" s="28" t="s">
        <v>89</v>
      </c>
      <c r="F2" s="29"/>
      <c r="H2" s="68" t="s">
        <v>56</v>
      </c>
      <c r="I2" s="69"/>
      <c r="J2" s="69"/>
      <c r="K2" s="29"/>
    </row>
    <row r="3" spans="1:12" x14ac:dyDescent="0.2">
      <c r="A3" t="s">
        <v>2</v>
      </c>
      <c r="B3">
        <v>12</v>
      </c>
      <c r="E3" s="30" t="s">
        <v>46</v>
      </c>
      <c r="F3" s="31">
        <v>0.3</v>
      </c>
      <c r="H3" s="70" t="s">
        <v>46</v>
      </c>
      <c r="I3" s="71"/>
      <c r="J3" s="71"/>
      <c r="K3" s="31">
        <v>0.3</v>
      </c>
    </row>
    <row r="4" spans="1:12" x14ac:dyDescent="0.2">
      <c r="A4" t="s">
        <v>17</v>
      </c>
      <c r="B4">
        <f>B2*B3</f>
        <v>24</v>
      </c>
      <c r="E4" s="30" t="s">
        <v>23</v>
      </c>
      <c r="F4" s="31">
        <v>1</v>
      </c>
      <c r="H4" s="70" t="s">
        <v>61</v>
      </c>
      <c r="I4" s="71"/>
      <c r="J4" s="71"/>
      <c r="K4" s="31">
        <v>23</v>
      </c>
    </row>
    <row r="5" spans="1:12" x14ac:dyDescent="0.2">
      <c r="A5" t="s">
        <v>3</v>
      </c>
      <c r="B5">
        <v>2.6</v>
      </c>
      <c r="E5" s="30" t="s">
        <v>25</v>
      </c>
      <c r="F5" s="31">
        <v>2</v>
      </c>
      <c r="H5" s="70" t="s">
        <v>60</v>
      </c>
      <c r="I5" s="71"/>
      <c r="J5" s="71"/>
      <c r="K5" s="31">
        <v>64</v>
      </c>
    </row>
    <row r="6" spans="1:12" x14ac:dyDescent="0.2">
      <c r="A6" t="s">
        <v>4</v>
      </c>
      <c r="B6">
        <f>B4*B5</f>
        <v>62.400000000000006</v>
      </c>
      <c r="E6" s="30" t="s">
        <v>24</v>
      </c>
      <c r="F6" s="31">
        <v>40</v>
      </c>
      <c r="H6" s="70" t="s">
        <v>59</v>
      </c>
      <c r="I6" s="71"/>
      <c r="J6" s="71"/>
      <c r="K6" s="31">
        <v>196</v>
      </c>
    </row>
    <row r="7" spans="1:12" x14ac:dyDescent="0.2">
      <c r="A7" t="s">
        <v>5</v>
      </c>
      <c r="B7">
        <f>B6-0.316</f>
        <v>62.084000000000003</v>
      </c>
      <c r="E7" s="32" t="s">
        <v>57</v>
      </c>
      <c r="F7" s="33">
        <v>8</v>
      </c>
      <c r="H7" s="72" t="s">
        <v>58</v>
      </c>
      <c r="I7" s="73"/>
      <c r="J7" s="73"/>
      <c r="K7" s="33">
        <v>98</v>
      </c>
    </row>
    <row r="8" spans="1:12" x14ac:dyDescent="0.2">
      <c r="A8" t="s">
        <v>6</v>
      </c>
      <c r="B8">
        <f>B7*0.9</f>
        <v>55.875600000000006</v>
      </c>
      <c r="E8" s="5"/>
      <c r="F8" s="6"/>
      <c r="G8" s="6"/>
    </row>
    <row r="9" spans="1:12" x14ac:dyDescent="0.2">
      <c r="E9" s="17" t="s">
        <v>90</v>
      </c>
      <c r="F9" s="18"/>
      <c r="G9" s="3"/>
      <c r="H9" s="78" t="s">
        <v>91</v>
      </c>
      <c r="I9" s="79"/>
      <c r="J9" s="79"/>
      <c r="K9" s="79"/>
      <c r="L9" s="18"/>
    </row>
    <row r="10" spans="1:12" x14ac:dyDescent="0.2">
      <c r="A10" t="s">
        <v>7</v>
      </c>
      <c r="B10">
        <v>384</v>
      </c>
      <c r="E10" s="19" t="s">
        <v>43</v>
      </c>
      <c r="F10" s="20">
        <f>ROUNDUP(((100*$F$3)/$B$31),0)</f>
        <v>1</v>
      </c>
      <c r="G10" s="3"/>
      <c r="H10" s="74" t="s">
        <v>50</v>
      </c>
      <c r="I10" s="75"/>
      <c r="J10" s="75"/>
      <c r="K10" s="75"/>
      <c r="L10" s="24">
        <f>ROUNDDOWN(($B$31/$F$3),0)</f>
        <v>186</v>
      </c>
    </row>
    <row r="11" spans="1:12" x14ac:dyDescent="0.2">
      <c r="A11" t="s">
        <v>8</v>
      </c>
      <c r="B11">
        <v>1</v>
      </c>
      <c r="C11" s="4" t="s">
        <v>18</v>
      </c>
      <c r="E11" s="21" t="s">
        <v>40</v>
      </c>
      <c r="F11" s="22">
        <f>ROUNDUP((($F$5*100)/$B$32),0)</f>
        <v>1</v>
      </c>
      <c r="G11" s="16"/>
      <c r="H11" s="80" t="s">
        <v>51</v>
      </c>
      <c r="I11" s="81"/>
      <c r="J11" s="81"/>
      <c r="K11" s="81"/>
      <c r="L11" s="25">
        <f>ROUNDDOWN(($B$32/$F$5),0)</f>
        <v>189</v>
      </c>
    </row>
    <row r="12" spans="1:12" ht="15" customHeight="1" x14ac:dyDescent="0.2">
      <c r="A12" t="s">
        <v>9</v>
      </c>
      <c r="B12">
        <v>4.5</v>
      </c>
      <c r="E12" s="19" t="s">
        <v>41</v>
      </c>
      <c r="F12" s="20">
        <f>ROUNDUP(((($F$6*100)/1000)/$B$33),0)</f>
        <v>2</v>
      </c>
      <c r="G12" s="8"/>
      <c r="H12" s="74" t="s">
        <v>52</v>
      </c>
      <c r="I12" s="75"/>
      <c r="J12" s="75"/>
      <c r="K12" s="75"/>
      <c r="L12" s="26">
        <f>ROUNDDOWN(($B$33/($F$6*0.001)),0)</f>
        <v>63</v>
      </c>
    </row>
    <row r="13" spans="1:12" x14ac:dyDescent="0.2">
      <c r="A13" t="s">
        <v>11</v>
      </c>
      <c r="B13">
        <f>B10-(B11+B12)</f>
        <v>378.5</v>
      </c>
      <c r="E13" s="21" t="s">
        <v>84</v>
      </c>
      <c r="F13" s="20">
        <f>ROUNDUP(((($F$6*100)/1000)/$B$37),0)</f>
        <v>2</v>
      </c>
      <c r="G13" s="8"/>
      <c r="H13" s="74" t="s">
        <v>85</v>
      </c>
      <c r="I13" s="75"/>
      <c r="J13" s="75"/>
      <c r="K13" s="75"/>
      <c r="L13" s="26">
        <f>ROUNDDOWN(($B$37/($F$6*0.001)),0)</f>
        <v>94</v>
      </c>
    </row>
    <row r="14" spans="1:12" x14ac:dyDescent="0.2">
      <c r="E14" s="56" t="s">
        <v>86</v>
      </c>
      <c r="F14" s="20">
        <f>ROUNDUP(((($F$6*100)/1000)/$B$41),0)</f>
        <v>2</v>
      </c>
      <c r="G14" s="8"/>
      <c r="H14" s="74" t="s">
        <v>87</v>
      </c>
      <c r="I14" s="75"/>
      <c r="J14" s="75"/>
      <c r="K14" s="75"/>
      <c r="L14" s="26">
        <f>ROUNDDOWN(($B$41/($F$6*0.001)),0)</f>
        <v>84</v>
      </c>
    </row>
    <row r="15" spans="1:12" x14ac:dyDescent="0.2">
      <c r="A15" t="s">
        <v>12</v>
      </c>
      <c r="B15">
        <v>2</v>
      </c>
      <c r="E15" s="19"/>
      <c r="F15" s="20"/>
      <c r="G15" s="8"/>
      <c r="H15" s="74"/>
      <c r="I15" s="75"/>
      <c r="J15" s="75"/>
      <c r="K15" s="75"/>
      <c r="L15" s="26"/>
    </row>
    <row r="16" spans="1:12" x14ac:dyDescent="0.2">
      <c r="A16" t="s">
        <v>20</v>
      </c>
      <c r="B16">
        <v>0.8</v>
      </c>
      <c r="C16" s="4" t="s">
        <v>32</v>
      </c>
      <c r="E16" s="19" t="s">
        <v>42</v>
      </c>
      <c r="F16" s="20">
        <f>ROUNDUP(((100*$F$3)/$B$48),0)</f>
        <v>1</v>
      </c>
      <c r="G16" s="8"/>
      <c r="H16" s="74" t="s">
        <v>53</v>
      </c>
      <c r="I16" s="75"/>
      <c r="J16" s="75"/>
      <c r="K16" s="75"/>
      <c r="L16" s="26">
        <f>ROUNDDOWN(($B$48/$F$3),0)</f>
        <v>223</v>
      </c>
    </row>
    <row r="17" spans="1:13" x14ac:dyDescent="0.2">
      <c r="A17" t="s">
        <v>14</v>
      </c>
      <c r="B17">
        <f>B15*B16</f>
        <v>1.6</v>
      </c>
      <c r="E17" s="19" t="s">
        <v>44</v>
      </c>
      <c r="F17" s="20">
        <f>ROUNDUP(((100*$F$3)/$B$49),0)</f>
        <v>1</v>
      </c>
      <c r="G17" s="8"/>
      <c r="H17" s="74" t="s">
        <v>54</v>
      </c>
      <c r="I17" s="75"/>
      <c r="J17" s="75"/>
      <c r="K17" s="75"/>
      <c r="L17" s="26">
        <f>ROUNDDOWN(($B$49/$F$3),0)</f>
        <v>279</v>
      </c>
    </row>
    <row r="18" spans="1:13" x14ac:dyDescent="0.2">
      <c r="A18" t="s">
        <v>13</v>
      </c>
      <c r="B18">
        <v>8</v>
      </c>
      <c r="E18" s="19" t="s">
        <v>45</v>
      </c>
      <c r="F18" s="20">
        <f>ROUNDUP(((100*$F$3)/$B$50),0)</f>
        <v>1</v>
      </c>
      <c r="G18" s="8"/>
      <c r="H18" s="74" t="s">
        <v>55</v>
      </c>
      <c r="I18" s="75"/>
      <c r="J18" s="75"/>
      <c r="K18" s="75"/>
      <c r="L18" s="26">
        <f>ROUNDDOWN(($B$50/$F$3),0)</f>
        <v>372</v>
      </c>
    </row>
    <row r="19" spans="1:13" x14ac:dyDescent="0.2">
      <c r="A19" t="s">
        <v>19</v>
      </c>
      <c r="B19">
        <v>0.9</v>
      </c>
      <c r="E19" s="19" t="s">
        <v>71</v>
      </c>
      <c r="F19" s="22">
        <f>ROUNDUP((($F$5*100)/$B$52),0)</f>
        <v>1</v>
      </c>
      <c r="G19" s="8"/>
      <c r="H19" s="74" t="s">
        <v>72</v>
      </c>
      <c r="I19" s="75"/>
      <c r="J19" s="75"/>
      <c r="K19" s="75"/>
      <c r="L19" s="26">
        <f>ROUNDDOWN(($B$52/$F$5),0)</f>
        <v>246</v>
      </c>
    </row>
    <row r="20" spans="1:13" x14ac:dyDescent="0.2">
      <c r="A20" t="s">
        <v>15</v>
      </c>
      <c r="B20">
        <f>B18*B19</f>
        <v>7.2</v>
      </c>
      <c r="E20" s="19"/>
      <c r="F20" s="43"/>
      <c r="G20" s="8"/>
      <c r="H20" s="74"/>
      <c r="I20" s="75"/>
      <c r="J20" s="75"/>
      <c r="K20" s="75"/>
      <c r="L20" s="26"/>
    </row>
    <row r="21" spans="1:13" x14ac:dyDescent="0.2">
      <c r="E21" s="23" t="s">
        <v>62</v>
      </c>
      <c r="F21" s="11">
        <f>ROUNDUP((($F$7*100)/9000),0)</f>
        <v>1</v>
      </c>
      <c r="G21" s="8"/>
      <c r="H21" s="76" t="s">
        <v>63</v>
      </c>
      <c r="I21" s="77"/>
      <c r="J21" s="77"/>
      <c r="K21" s="77"/>
      <c r="L21" s="27">
        <f>ROUNDDOWN((9000/$F$7),0)</f>
        <v>1125</v>
      </c>
      <c r="M21" s="3"/>
    </row>
    <row r="22" spans="1:13" x14ac:dyDescent="0.2">
      <c r="A22" s="59" t="s">
        <v>47</v>
      </c>
      <c r="B22" s="60">
        <v>1</v>
      </c>
      <c r="C22" s="67"/>
      <c r="G22" s="8"/>
      <c r="H22" s="9"/>
      <c r="I22" s="9"/>
      <c r="J22" s="9"/>
      <c r="K22" s="9"/>
      <c r="L22" s="9"/>
      <c r="M22" s="3"/>
    </row>
    <row r="23" spans="1:13" x14ac:dyDescent="0.2">
      <c r="A23" s="47" t="s">
        <v>0</v>
      </c>
      <c r="B23" s="61">
        <v>1</v>
      </c>
      <c r="C23" s="67" t="s">
        <v>88</v>
      </c>
      <c r="M23" s="3"/>
    </row>
    <row r="24" spans="1:13" x14ac:dyDescent="0.2">
      <c r="A24" s="47" t="s">
        <v>22</v>
      </c>
      <c r="B24" s="61">
        <f>B15</f>
        <v>2</v>
      </c>
      <c r="E24" s="16"/>
    </row>
    <row r="25" spans="1:13" x14ac:dyDescent="0.2">
      <c r="A25" s="47" t="s">
        <v>16</v>
      </c>
      <c r="B25" s="62">
        <v>0.7</v>
      </c>
      <c r="E25" s="9"/>
    </row>
    <row r="26" spans="1:13" x14ac:dyDescent="0.2">
      <c r="A26" s="47" t="s">
        <v>65</v>
      </c>
      <c r="B26" s="54">
        <v>2</v>
      </c>
      <c r="E26" s="9"/>
    </row>
    <row r="27" spans="1:13" x14ac:dyDescent="0.2">
      <c r="A27" s="47" t="s">
        <v>64</v>
      </c>
      <c r="B27" s="54">
        <v>1</v>
      </c>
      <c r="E27" s="9"/>
    </row>
    <row r="28" spans="1:13" x14ac:dyDescent="0.2">
      <c r="A28" s="63" t="s">
        <v>69</v>
      </c>
      <c r="B28" s="64">
        <v>1.3</v>
      </c>
      <c r="E28" s="9"/>
    </row>
    <row r="29" spans="1:13" x14ac:dyDescent="0.2">
      <c r="E29" s="9"/>
    </row>
    <row r="30" spans="1:13" x14ac:dyDescent="0.2">
      <c r="A30" s="46" t="s">
        <v>28</v>
      </c>
      <c r="B30" s="29"/>
      <c r="E30" s="34" t="s">
        <v>33</v>
      </c>
      <c r="F30" s="35">
        <v>4</v>
      </c>
      <c r="G30" s="35">
        <v>8</v>
      </c>
      <c r="H30" s="35">
        <v>12</v>
      </c>
      <c r="I30" s="35">
        <v>16</v>
      </c>
      <c r="J30" s="35">
        <v>24</v>
      </c>
      <c r="K30" s="35">
        <v>32</v>
      </c>
      <c r="L30" s="35">
        <v>48</v>
      </c>
      <c r="M30" s="36">
        <v>64</v>
      </c>
    </row>
    <row r="31" spans="1:13" x14ac:dyDescent="0.2">
      <c r="A31" s="49" t="s">
        <v>21</v>
      </c>
      <c r="B31" s="53">
        <f>B8</f>
        <v>55.875600000000006</v>
      </c>
      <c r="E31" s="57" t="s">
        <v>48</v>
      </c>
      <c r="F31" s="15">
        <f t="shared" ref="F31:M31" si="0">($B$22/F30)*F30</f>
        <v>1</v>
      </c>
      <c r="G31" s="15">
        <f t="shared" si="0"/>
        <v>1</v>
      </c>
      <c r="H31" s="15">
        <f t="shared" si="0"/>
        <v>1</v>
      </c>
      <c r="I31" s="15">
        <f t="shared" si="0"/>
        <v>1</v>
      </c>
      <c r="J31" s="15">
        <f t="shared" si="0"/>
        <v>1</v>
      </c>
      <c r="K31" s="15">
        <f t="shared" si="0"/>
        <v>1</v>
      </c>
      <c r="L31" s="15">
        <f t="shared" si="0"/>
        <v>1</v>
      </c>
      <c r="M31" s="37">
        <f t="shared" si="0"/>
        <v>1</v>
      </c>
    </row>
    <row r="32" spans="1:13" x14ac:dyDescent="0.2">
      <c r="A32" s="49" t="s">
        <v>39</v>
      </c>
      <c r="B32" s="53">
        <f>B13</f>
        <v>378.5</v>
      </c>
      <c r="E32" s="57" t="s">
        <v>26</v>
      </c>
      <c r="F32" s="12">
        <f t="shared" ref="F32:M32" si="1">($B$31*(F30-F31))</f>
        <v>167.6268</v>
      </c>
      <c r="G32" s="12">
        <f t="shared" si="1"/>
        <v>391.12920000000003</v>
      </c>
      <c r="H32" s="12">
        <f t="shared" si="1"/>
        <v>614.63160000000005</v>
      </c>
      <c r="I32" s="12">
        <f t="shared" si="1"/>
        <v>838.13400000000013</v>
      </c>
      <c r="J32" s="12">
        <f t="shared" si="1"/>
        <v>1285.1388000000002</v>
      </c>
      <c r="K32" s="12">
        <f t="shared" si="1"/>
        <v>1732.1436000000001</v>
      </c>
      <c r="L32" s="12">
        <f t="shared" si="1"/>
        <v>2626.1532000000002</v>
      </c>
      <c r="M32" s="38">
        <f t="shared" si="1"/>
        <v>3520.1628000000005</v>
      </c>
    </row>
    <row r="33" spans="1:13" x14ac:dyDescent="0.2">
      <c r="A33" s="47" t="s">
        <v>34</v>
      </c>
      <c r="B33" s="48">
        <f>($B$20*$B$25)/($B$23+1)</f>
        <v>2.52</v>
      </c>
      <c r="E33" s="57" t="s">
        <v>38</v>
      </c>
      <c r="F33" s="13">
        <f t="shared" ref="F33:M33" si="2">($B$32*(F30-F31))/1000</f>
        <v>1.1355</v>
      </c>
      <c r="G33" s="13">
        <f t="shared" si="2"/>
        <v>2.6495000000000002</v>
      </c>
      <c r="H33" s="13">
        <f t="shared" si="2"/>
        <v>4.1635</v>
      </c>
      <c r="I33" s="13">
        <f t="shared" si="2"/>
        <v>5.6775000000000002</v>
      </c>
      <c r="J33" s="13">
        <f t="shared" si="2"/>
        <v>8.7055000000000007</v>
      </c>
      <c r="K33" s="13">
        <f t="shared" si="2"/>
        <v>11.733499999999999</v>
      </c>
      <c r="L33" s="13">
        <f t="shared" si="2"/>
        <v>17.7895</v>
      </c>
      <c r="M33" s="39">
        <f t="shared" si="2"/>
        <v>23.845500000000001</v>
      </c>
    </row>
    <row r="34" spans="1:13" x14ac:dyDescent="0.2">
      <c r="A34" s="47" t="s">
        <v>66</v>
      </c>
      <c r="B34" s="48">
        <f>(($B$20*$B$25)/($B$23+1))*$B$27</f>
        <v>2.52</v>
      </c>
      <c r="E34" s="57" t="s">
        <v>35</v>
      </c>
      <c r="F34" s="13">
        <f t="shared" ref="F34:M34" si="3">($B$36*(F$30-F$31))</f>
        <v>15.120000000000001</v>
      </c>
      <c r="G34" s="13">
        <f t="shared" si="3"/>
        <v>35.28</v>
      </c>
      <c r="H34" s="13">
        <f t="shared" si="3"/>
        <v>55.44</v>
      </c>
      <c r="I34" s="13">
        <f t="shared" si="3"/>
        <v>75.599999999999994</v>
      </c>
      <c r="J34" s="13">
        <f t="shared" si="3"/>
        <v>115.92</v>
      </c>
      <c r="K34" s="13">
        <f t="shared" si="3"/>
        <v>156.24</v>
      </c>
      <c r="L34" s="13">
        <f t="shared" si="3"/>
        <v>236.88</v>
      </c>
      <c r="M34" s="39">
        <f t="shared" si="3"/>
        <v>317.52</v>
      </c>
    </row>
    <row r="35" spans="1:13" x14ac:dyDescent="0.2">
      <c r="A35" s="47" t="s">
        <v>67</v>
      </c>
      <c r="B35" s="48">
        <f>(($B$20*$B$25)/($B$23+1))*$B$26</f>
        <v>5.04</v>
      </c>
      <c r="E35" s="57" t="s">
        <v>82</v>
      </c>
      <c r="F35" s="13">
        <f t="shared" ref="F35:M35" si="4">($B$40*(F$30-F$31))</f>
        <v>22.68</v>
      </c>
      <c r="G35" s="13">
        <f t="shared" si="4"/>
        <v>52.92</v>
      </c>
      <c r="H35" s="13">
        <f t="shared" si="4"/>
        <v>83.160000000000011</v>
      </c>
      <c r="I35" s="13">
        <f t="shared" si="4"/>
        <v>113.4</v>
      </c>
      <c r="J35" s="13">
        <f t="shared" si="4"/>
        <v>173.88000000000002</v>
      </c>
      <c r="K35" s="13">
        <f t="shared" si="4"/>
        <v>234.36</v>
      </c>
      <c r="L35" s="13">
        <f t="shared" si="4"/>
        <v>355.32000000000005</v>
      </c>
      <c r="M35" s="39">
        <f t="shared" si="4"/>
        <v>476.28000000000003</v>
      </c>
    </row>
    <row r="36" spans="1:13" x14ac:dyDescent="0.2">
      <c r="A36" s="49" t="s">
        <v>68</v>
      </c>
      <c r="B36" s="50">
        <f>((($B$20*$B$25)/($B$23+1))*$B$27)*B26</f>
        <v>5.04</v>
      </c>
      <c r="E36" s="56" t="s">
        <v>83</v>
      </c>
      <c r="F36" s="13">
        <f t="shared" ref="F36:M36" si="5">($B$44*(F$30-F$31))</f>
        <v>20.16</v>
      </c>
      <c r="G36" s="13">
        <f t="shared" si="5"/>
        <v>47.04</v>
      </c>
      <c r="H36" s="13">
        <f t="shared" si="5"/>
        <v>73.92</v>
      </c>
      <c r="I36" s="13">
        <f t="shared" si="5"/>
        <v>100.8</v>
      </c>
      <c r="J36" s="13">
        <f t="shared" si="5"/>
        <v>154.56</v>
      </c>
      <c r="K36" s="13">
        <f t="shared" si="5"/>
        <v>208.32</v>
      </c>
      <c r="L36" s="13">
        <f t="shared" si="5"/>
        <v>315.83999999999997</v>
      </c>
      <c r="M36" s="39">
        <f t="shared" si="5"/>
        <v>423.35999999999996</v>
      </c>
    </row>
    <row r="37" spans="1:13" x14ac:dyDescent="0.2">
      <c r="A37" s="47" t="s">
        <v>74</v>
      </c>
      <c r="B37" s="48">
        <f>(3*(($B$20*$B$25)/4))</f>
        <v>3.7800000000000002</v>
      </c>
      <c r="E37" s="58"/>
      <c r="F37" s="14"/>
      <c r="G37" s="14"/>
      <c r="H37" s="14"/>
      <c r="I37" s="14"/>
      <c r="J37" s="14"/>
      <c r="K37" s="14"/>
      <c r="L37" s="14"/>
      <c r="M37" s="40"/>
    </row>
    <row r="38" spans="1:13" x14ac:dyDescent="0.2">
      <c r="A38" s="47" t="s">
        <v>75</v>
      </c>
      <c r="B38" s="48">
        <f>(3*(($B$20*$B$25)/4))*$B$27</f>
        <v>3.7800000000000002</v>
      </c>
      <c r="E38" s="57" t="s">
        <v>36</v>
      </c>
      <c r="F38" s="13">
        <f t="shared" ref="F38:M38" si="6">($B$48*(F30-F31))</f>
        <v>201.15215999999998</v>
      </c>
      <c r="G38" s="13">
        <f t="shared" si="6"/>
        <v>469.35503999999997</v>
      </c>
      <c r="H38" s="13">
        <f t="shared" si="6"/>
        <v>737.55791999999997</v>
      </c>
      <c r="I38" s="13">
        <f t="shared" si="6"/>
        <v>1005.7608</v>
      </c>
      <c r="J38" s="13">
        <f t="shared" si="6"/>
        <v>1542.1665599999999</v>
      </c>
      <c r="K38" s="13">
        <f t="shared" si="6"/>
        <v>2078.5723199999998</v>
      </c>
      <c r="L38" s="13">
        <f t="shared" si="6"/>
        <v>3151.38384</v>
      </c>
      <c r="M38" s="39">
        <f t="shared" si="6"/>
        <v>4224.1953599999997</v>
      </c>
    </row>
    <row r="39" spans="1:13" x14ac:dyDescent="0.2">
      <c r="A39" s="47" t="s">
        <v>76</v>
      </c>
      <c r="B39" s="48">
        <f>(3*(($B$20*$B$25)/4))*$B$26</f>
        <v>7.5600000000000005</v>
      </c>
      <c r="E39" s="57" t="s">
        <v>49</v>
      </c>
      <c r="F39" s="12">
        <f t="shared" ref="F39:M39" si="7">($B$49*(F30-F31))</f>
        <v>251.4402</v>
      </c>
      <c r="G39" s="12">
        <f t="shared" si="7"/>
        <v>586.69380000000001</v>
      </c>
      <c r="H39" s="12">
        <f t="shared" si="7"/>
        <v>921.94740000000002</v>
      </c>
      <c r="I39" s="12">
        <f t="shared" si="7"/>
        <v>1257.201</v>
      </c>
      <c r="J39" s="12">
        <f t="shared" si="7"/>
        <v>1927.7082</v>
      </c>
      <c r="K39" s="12">
        <f t="shared" si="7"/>
        <v>2598.2154</v>
      </c>
      <c r="L39" s="12">
        <f t="shared" si="7"/>
        <v>3939.2298000000001</v>
      </c>
      <c r="M39" s="38">
        <f t="shared" si="7"/>
        <v>5280.2442000000001</v>
      </c>
    </row>
    <row r="40" spans="1:13" x14ac:dyDescent="0.2">
      <c r="A40" s="49" t="s">
        <v>77</v>
      </c>
      <c r="B40" s="50">
        <f>((3*(($B$20*$B$25)/4))*$B$27)*$B$26</f>
        <v>7.5600000000000005</v>
      </c>
      <c r="E40" s="56" t="s">
        <v>37</v>
      </c>
      <c r="F40" s="13">
        <f t="shared" ref="F40:M40" si="8">($B$50*(F30-F31))</f>
        <v>335.25360000000001</v>
      </c>
      <c r="G40" s="13">
        <f t="shared" si="8"/>
        <v>782.25840000000005</v>
      </c>
      <c r="H40" s="13">
        <f t="shared" si="8"/>
        <v>1229.2632000000001</v>
      </c>
      <c r="I40" s="13">
        <f t="shared" si="8"/>
        <v>1676.2680000000003</v>
      </c>
      <c r="J40" s="13">
        <f t="shared" si="8"/>
        <v>2570.2776000000003</v>
      </c>
      <c r="K40" s="13">
        <f t="shared" si="8"/>
        <v>3464.2872000000002</v>
      </c>
      <c r="L40" s="13">
        <f t="shared" si="8"/>
        <v>5252.3064000000004</v>
      </c>
      <c r="M40" s="39">
        <f t="shared" si="8"/>
        <v>7040.325600000001</v>
      </c>
    </row>
    <row r="41" spans="1:13" x14ac:dyDescent="0.2">
      <c r="A41" s="47" t="s">
        <v>79</v>
      </c>
      <c r="B41" s="48">
        <f>(4*(($B$20*$B$25)/6))</f>
        <v>3.36</v>
      </c>
      <c r="E41" s="55" t="s">
        <v>73</v>
      </c>
      <c r="F41" s="41">
        <f t="shared" ref="F41:M41" si="9">($B$52*(F30-F31))/1000</f>
        <v>1.4761500000000001</v>
      </c>
      <c r="G41" s="41">
        <f t="shared" si="9"/>
        <v>3.44435</v>
      </c>
      <c r="H41" s="41">
        <f t="shared" si="9"/>
        <v>5.4125500000000004</v>
      </c>
      <c r="I41" s="41">
        <f t="shared" si="9"/>
        <v>7.3807499999999999</v>
      </c>
      <c r="J41" s="41">
        <f t="shared" si="9"/>
        <v>11.31715</v>
      </c>
      <c r="K41" s="41">
        <f t="shared" si="9"/>
        <v>15.253550000000001</v>
      </c>
      <c r="L41" s="41">
        <f t="shared" si="9"/>
        <v>23.126350000000002</v>
      </c>
      <c r="M41" s="42">
        <f t="shared" si="9"/>
        <v>30.99915</v>
      </c>
    </row>
    <row r="42" spans="1:13" x14ac:dyDescent="0.2">
      <c r="A42" s="47" t="s">
        <v>78</v>
      </c>
      <c r="B42" s="48">
        <f>(4*(($B$20*$B$25)/6))*$B$27</f>
        <v>3.36</v>
      </c>
    </row>
    <row r="43" spans="1:13" x14ac:dyDescent="0.2">
      <c r="A43" s="47" t="s">
        <v>80</v>
      </c>
      <c r="B43" s="48">
        <f>(4*(($B$20*$B$25)/6))*$B$26</f>
        <v>6.72</v>
      </c>
    </row>
    <row r="44" spans="1:13" x14ac:dyDescent="0.2">
      <c r="A44" s="51" t="s">
        <v>81</v>
      </c>
      <c r="B44" s="52">
        <f>((4*(($B$20*$B$25)/6))*$B$27)*$B$26</f>
        <v>6.72</v>
      </c>
    </row>
    <row r="46" spans="1:13" x14ac:dyDescent="0.2">
      <c r="A46" s="8"/>
    </row>
    <row r="47" spans="1:13" x14ac:dyDescent="0.2">
      <c r="A47" s="10" t="s">
        <v>27</v>
      </c>
    </row>
    <row r="48" spans="1:13" x14ac:dyDescent="0.2">
      <c r="A48" s="8" t="s">
        <v>31</v>
      </c>
      <c r="B48" s="8">
        <f>B8*1.2</f>
        <v>67.050719999999998</v>
      </c>
    </row>
    <row r="49" spans="1:2" x14ac:dyDescent="0.2">
      <c r="A49" s="8" t="s">
        <v>30</v>
      </c>
      <c r="B49" s="8">
        <f>B8*1.5</f>
        <v>83.813400000000001</v>
      </c>
    </row>
    <row r="50" spans="1:2" x14ac:dyDescent="0.2">
      <c r="A50" s="8" t="s">
        <v>29</v>
      </c>
      <c r="B50" s="8">
        <f>B8*2</f>
        <v>111.75120000000001</v>
      </c>
    </row>
    <row r="51" spans="1:2" x14ac:dyDescent="0.2">
      <c r="A51" s="8"/>
      <c r="B51" s="8"/>
    </row>
    <row r="52" spans="1:2" x14ac:dyDescent="0.2">
      <c r="A52" s="8" t="s">
        <v>70</v>
      </c>
      <c r="B52" s="8">
        <f>B13*B28</f>
        <v>492.05</v>
      </c>
    </row>
    <row r="61" spans="1:2" x14ac:dyDescent="0.2">
      <c r="B61" s="45"/>
    </row>
    <row r="62" spans="1:2" x14ac:dyDescent="0.2">
      <c r="A62" s="44"/>
      <c r="B62" s="45"/>
    </row>
    <row r="63" spans="1:2" x14ac:dyDescent="0.2">
      <c r="A63" s="7"/>
      <c r="B63" s="45"/>
    </row>
    <row r="64" spans="1:2" x14ac:dyDescent="0.2">
      <c r="A64" s="7"/>
      <c r="B64" s="45"/>
    </row>
    <row r="65" spans="1:13" x14ac:dyDescent="0.2">
      <c r="A65" s="7"/>
      <c r="B65" s="45"/>
    </row>
    <row r="66" spans="1:13" x14ac:dyDescent="0.2">
      <c r="A66" s="7"/>
      <c r="B66" s="45"/>
    </row>
    <row r="67" spans="1:13" x14ac:dyDescent="0.2">
      <c r="A67" s="7"/>
      <c r="B67" s="45"/>
      <c r="E67" s="66"/>
      <c r="F67" s="3"/>
      <c r="G67" s="3"/>
      <c r="H67" s="65"/>
      <c r="I67" s="3"/>
      <c r="J67" s="3"/>
      <c r="K67" s="3"/>
      <c r="L67" s="3"/>
      <c r="M67" s="3"/>
    </row>
    <row r="68" spans="1:13" x14ac:dyDescent="0.2">
      <c r="A68" s="7"/>
      <c r="B68" s="45"/>
      <c r="E68" s="66"/>
      <c r="F68" s="3"/>
      <c r="G68" s="3"/>
      <c r="H68" s="65"/>
      <c r="I68" s="3"/>
      <c r="J68" s="3"/>
      <c r="K68" s="3"/>
      <c r="L68" s="3"/>
      <c r="M68" s="3"/>
    </row>
    <row r="69" spans="1:13" x14ac:dyDescent="0.2">
      <c r="A69" s="7"/>
    </row>
    <row r="70" spans="1:13" x14ac:dyDescent="0.2">
      <c r="A70" s="7"/>
    </row>
    <row r="71" spans="1:13" x14ac:dyDescent="0.2">
      <c r="A71" s="7"/>
    </row>
  </sheetData>
  <mergeCells count="19">
    <mergeCell ref="H7:J7"/>
    <mergeCell ref="H14:K14"/>
    <mergeCell ref="H21:K21"/>
    <mergeCell ref="H9:K9"/>
    <mergeCell ref="H10:K10"/>
    <mergeCell ref="H11:K11"/>
    <mergeCell ref="H12:K12"/>
    <mergeCell ref="H13:K13"/>
    <mergeCell ref="H20:K20"/>
    <mergeCell ref="H15:K15"/>
    <mergeCell ref="H16:K16"/>
    <mergeCell ref="H18:K18"/>
    <mergeCell ref="H17:K17"/>
    <mergeCell ref="H19:K19"/>
    <mergeCell ref="H2:J2"/>
    <mergeCell ref="H3:J3"/>
    <mergeCell ref="H4:J4"/>
    <mergeCell ref="H5:J5"/>
    <mergeCell ref="H6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HCI Calculator</vt:lpstr>
    </vt:vector>
  </TitlesOfParts>
  <Company>VMware,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Lyubomir Lyubenov</dc:creator>
  <cp:lastModifiedBy>Microsoft Office User</cp:lastModifiedBy>
  <dcterms:created xsi:type="dcterms:W3CDTF">2014-04-16T08:07:05Z</dcterms:created>
  <dcterms:modified xsi:type="dcterms:W3CDTF">2016-04-11T17:39:16Z</dcterms:modified>
</cp:coreProperties>
</file>